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<sst xmlns="http://schemas.openxmlformats.org/spreadsheetml/2006/main" count="1219" uniqueCount="248">
  <si>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</si>
  <si>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</si>
  <si>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</si>
  <si>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</si>
  <si>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</si>
  <si>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</si>
  <si>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</si>
  <si>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</si>
  <si>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</si>
  <si>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</si>
  <si>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</si>
  <si>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</si>
  <si>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</si>
  <si>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</si>
  <si>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</si>
  <si>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</si>
  <si>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</si>
  <si>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</si>
  <si>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</si>
  <si>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</si>
  <si>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</si>
  <si>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</si>
  <si>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</si>
  <si>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</si>
  <si>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</si>
  <si>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</si>
  <si>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</si>
  <si>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</si>
  <si>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</si>
  <si>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</si>
  <si>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</si>
  <si>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</si>
  <si>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</si>
  <si>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</si>
  <si>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</si>
  <si>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</si>
  <si>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</si>
  <si>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</si>
  <si>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</si>
  <si>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</si>
  <si>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</si>
  <si>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</si>
  <si>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</si>
  <si>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</si>
  <si>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</si>
  <si>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</si>
  <si>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</si>
  <si>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</si>
  <si>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</si>
  <si>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</si>
  <si>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</si>
  <si>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</si>
  <si>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</si>
  <si>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</si>
  <si>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</si>
  <si>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</si>
  <si>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</si>
  <si>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</si>
  <si>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</si>
  <si>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</si>
  <si>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</si>
  <si>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</si>
  <si>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</si>
  <si>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</si>
  <si>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</si>
  <si>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</si>
  <si>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</si>
  <si>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</si>
  <si>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</si>
  <si>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</si>
  <si>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</si>
  <si>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</si>
  <si>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</si>
  <si>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</si>
  <si>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</si>
  <si>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</si>
  <si>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</si>
  <si>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</si>
  <si>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</si>
  <si>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</si>
  <si>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</si>
  <si>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</si>
  <si>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</si>
  <si>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</si>
  <si>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</si>
  <si>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</si>
  <si>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</si>
  <si>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</si>
  <si>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</si>
  <si>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</si>
  <si>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</si>
  <si>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</si>
  <si>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</si>
  <si>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</si>
  <si>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</si>
  <si>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</si>
  <si>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</si>
  <si>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</si>
  <si>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</si>
  <si>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</si>
  <si>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</si>
  <si>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</si>
  <si>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</si>
  <si>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</si>
  <si>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</si>
  <si>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</si>
  <si>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</si>
  <si>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</si>
  <si>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</si>
  <si>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</si>
  <si>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</si>
  <si>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</si>
  <si>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</si>
  <si>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</si>
  <si>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</si>
  <si>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</si>
  <si>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</si>
  <si>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</si>
  <si>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</si>
  <si>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</si>
  <si>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</si>
  <si>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</si>
  <si>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</si>
  <si>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</si>
  <si>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</si>
  <si>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</si>
  <si>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</si>
  <si>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</si>
  <si>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</si>
  <si>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</si>
  <si>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</si>
  <si>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</si>
  <si>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</si>
  <si>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</si>
  <si>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</si>
  <si>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</si>
  <si>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</si>
  <si>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</si>
  <si>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</si>
  <si>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</si>
  <si>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</si>
  <si>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</si>
  <si>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</si>
  <si>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</si>
  <si>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</si>
  <si>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</si>
  <si>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</si>
  <si>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</si>
  <si>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</si>
  <si>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</si>
  <si>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</si>
  <si>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</si>
  <si>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</si>
  <si>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</si>
  <si>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</si>
  <si>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</si>
  <si>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</si>
  <si>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</si>
  <si>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</si>
  <si>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</si>
  <si>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</si>
  <si>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</si>
  <si>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</si>
  <si>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</si>
  <si>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</si>
  <si>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</si>
  <si>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</si>
  <si>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</si>
  <si>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</si>
  <si>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</si>
  <si>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</si>
  <si>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</si>
  <si>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</si>
  <si>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</si>
  <si>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</si>
  <si>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</si>
  <si>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</si>
  <si>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</si>
  <si>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</si>
  <si>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</si>
  <si>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</si>
  <si>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</si>
  <si>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</si>
  <si>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</si>
  <si>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</si>
  <si>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</si>
  <si>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</si>
  <si>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</si>
  <si>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</si>
  <si>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</si>
  <si>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</si>
  <si>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</si>
  <si>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</si>
  <si>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</si>
  <si>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</si>
  <si>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</si>
  <si>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</si>
  <si>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</si>
  <si>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</si>
  <si>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</si>
  <si>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</si>
  <si>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</si>
  <si>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</si>
  <si>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</si>
  <si>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</si>
  <si>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</si>
  <si>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</si>
  <si>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</si>
  <si>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</si>
  <si>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</si>
  <si>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</si>
  <si>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</si>
  <si>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</si>
  <si>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</si>
  <si>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</si>
  <si>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</si>
  <si>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</si>
  <si>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</si>
  <si>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</si>
  <si>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</si>
  <si>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</si>
  <si>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</si>
  <si>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</si>
  <si>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</si>
  <si>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</si>
  <si>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</si>
  <si>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</si>
  <si>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</si>
  <si>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</si>
  <si>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</si>
  <si>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</si>
  <si>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</si>
  <si>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</si>
  <si>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</si>
  <si>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</si>
  <si>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</si>
  <si>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</si>
  <si>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</si>
  <si>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</si>
  <si>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</si>
  <si>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</si>
  <si>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</si>
  <si>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</si>
  <si>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</si>
  <si>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</si>
  <si>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</si>
  <si>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</si>
  <si>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11.06.14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</si>
</sst>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118570261.68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104745039.72</v>
          </cell>
        </row>
      </sheetData>
      <sheetData sheetId="13">
        <row r="52">
          <cell r="B52">
            <v>14856816.12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99" sqref="E9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7" t="s">
        <v>246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224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225</v>
      </c>
      <c r="N3" s="179" t="s">
        <v>243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238</v>
      </c>
      <c r="H4" s="182" t="s">
        <v>239</v>
      </c>
      <c r="I4" s="184" t="s">
        <v>188</v>
      </c>
      <c r="J4" s="186" t="s">
        <v>189</v>
      </c>
      <c r="K4" s="188" t="s">
        <v>240</v>
      </c>
      <c r="L4" s="189"/>
      <c r="M4" s="178"/>
      <c r="N4" s="196" t="s">
        <v>247</v>
      </c>
      <c r="O4" s="184" t="s">
        <v>136</v>
      </c>
      <c r="P4" s="184" t="s">
        <v>135</v>
      </c>
      <c r="Q4" s="188" t="s">
        <v>242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237</v>
      </c>
      <c r="F5" s="166"/>
      <c r="G5" s="181"/>
      <c r="H5" s="183"/>
      <c r="I5" s="185"/>
      <c r="J5" s="187"/>
      <c r="K5" s="190"/>
      <c r="L5" s="191"/>
      <c r="M5" s="151" t="s">
        <v>241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196214.68</v>
      </c>
      <c r="G8" s="22">
        <f aca="true" t="shared" si="0" ref="G8:G30">F8-E8</f>
        <v>-37051.850000000006</v>
      </c>
      <c r="H8" s="51">
        <f>F8/E8*100</f>
        <v>84.11608815032315</v>
      </c>
      <c r="I8" s="36">
        <f aca="true" t="shared" si="1" ref="I8:I17">F8-D8</f>
        <v>-292261.62</v>
      </c>
      <c r="J8" s="36">
        <f aca="true" t="shared" si="2" ref="J8:J14">F8/D8*100</f>
        <v>40.16872057047598</v>
      </c>
      <c r="K8" s="36">
        <f>F8-227938.8</f>
        <v>-31724.119999999995</v>
      </c>
      <c r="L8" s="136">
        <f>F8/227938.8</f>
        <v>0.8608217644385248</v>
      </c>
      <c r="M8" s="22">
        <f>M10+M19+M33+M56+M68+M30</f>
        <v>41595.47</v>
      </c>
      <c r="N8" s="22">
        <f>N10+N19+N33+N56+N68+N30</f>
        <v>11409.480000000014</v>
      </c>
      <c r="O8" s="36">
        <f aca="true" t="shared" si="3" ref="O8:O71">N8-M8</f>
        <v>-30185.989999999987</v>
      </c>
      <c r="P8" s="36">
        <f>F8/M8*100</f>
        <v>471.72127157115904</v>
      </c>
      <c r="Q8" s="36">
        <f>N8-40804</f>
        <v>-29394.519999999986</v>
      </c>
      <c r="R8" s="134">
        <f>N8/40804</f>
        <v>0.2796167042446822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159597.54</v>
      </c>
      <c r="G9" s="22">
        <f t="shared" si="0"/>
        <v>159597.54</v>
      </c>
      <c r="H9" s="20"/>
      <c r="I9" s="56">
        <f t="shared" si="1"/>
        <v>-227415.66</v>
      </c>
      <c r="J9" s="56">
        <f t="shared" si="2"/>
        <v>41.23826784202709</v>
      </c>
      <c r="K9" s="56"/>
      <c r="L9" s="135"/>
      <c r="M9" s="20">
        <f>M10+M17</f>
        <v>34434.5</v>
      </c>
      <c r="N9" s="20">
        <f>N10+N17</f>
        <v>10837.390000000014</v>
      </c>
      <c r="O9" s="36">
        <f t="shared" si="3"/>
        <v>-23597.109999999986</v>
      </c>
      <c r="P9" s="56">
        <f>F9/M9*100</f>
        <v>463.48150837096523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159597.54</v>
      </c>
      <c r="G10" s="49">
        <f t="shared" si="0"/>
        <v>-30948.75999999998</v>
      </c>
      <c r="H10" s="40">
        <f aca="true" t="shared" si="4" ref="H10:H17">F10/E10*100</f>
        <v>83.75787931856983</v>
      </c>
      <c r="I10" s="56">
        <f t="shared" si="1"/>
        <v>-227415.66</v>
      </c>
      <c r="J10" s="56">
        <f t="shared" si="2"/>
        <v>41.23826784202709</v>
      </c>
      <c r="K10" s="141">
        <f>F10-179133.7</f>
        <v>-19536.160000000003</v>
      </c>
      <c r="L10" s="142">
        <f>F10/179133.7</f>
        <v>0.8909409005675649</v>
      </c>
      <c r="M10" s="40">
        <f>E10-травень!E10</f>
        <v>34434.5</v>
      </c>
      <c r="N10" s="40">
        <f>F10-травень!F10</f>
        <v>10837.390000000014</v>
      </c>
      <c r="O10" s="53">
        <f t="shared" si="3"/>
        <v>-23597.109999999986</v>
      </c>
      <c r="P10" s="56">
        <f aca="true" t="shared" si="5" ref="P10:P17">N10/M10*100</f>
        <v>31.472476731185335</v>
      </c>
      <c r="Q10" s="141">
        <f>N10-33294.7</f>
        <v>-22457.309999999983</v>
      </c>
      <c r="R10" s="142">
        <f>N10/33294.7</f>
        <v>0.3254989532868599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306.38</v>
      </c>
      <c r="G19" s="49">
        <f t="shared" si="0"/>
        <v>-716.22</v>
      </c>
      <c r="H19" s="40">
        <f aca="true" t="shared" si="6" ref="H19:H29">F19/E19*100</f>
        <v>29.96088402112263</v>
      </c>
      <c r="I19" s="56">
        <f aca="true" t="shared" si="7" ref="I19:I29">F19-D19</f>
        <v>-693.62</v>
      </c>
      <c r="J19" s="56">
        <f aca="true" t="shared" si="8" ref="J19:J29">F19/D19*100</f>
        <v>30.637999999999998</v>
      </c>
      <c r="K19" s="56">
        <f>F19-5620.4</f>
        <v>-5314.0199999999995</v>
      </c>
      <c r="L19" s="135">
        <f>F19/5620.4</f>
        <v>0.05451213436766067</v>
      </c>
      <c r="M19" s="40">
        <f>E19-травень!E19</f>
        <v>11</v>
      </c>
      <c r="N19" s="40">
        <f>F19-травень!F19</f>
        <v>-339</v>
      </c>
      <c r="O19" s="53">
        <f t="shared" si="3"/>
        <v>-350</v>
      </c>
      <c r="P19" s="56">
        <f aca="true" t="shared" si="9" ref="P19:P29">N19/M19*100</f>
        <v>-3081.8181818181815</v>
      </c>
      <c r="Q19" s="56">
        <f>N19-465.3</f>
        <v>-804.3</v>
      </c>
      <c r="R19" s="135">
        <f>N19/465.3</f>
        <v>-0.7285622179239201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816.66</v>
      </c>
      <c r="G29" s="49">
        <f t="shared" si="0"/>
        <v>54.059999999999945</v>
      </c>
      <c r="H29" s="40">
        <f t="shared" si="6"/>
        <v>107.08890637293469</v>
      </c>
      <c r="I29" s="56">
        <f t="shared" si="7"/>
        <v>-113.34000000000003</v>
      </c>
      <c r="J29" s="56">
        <f t="shared" si="8"/>
        <v>87.81290322580645</v>
      </c>
      <c r="K29" s="148">
        <f>F29-2001.3</f>
        <v>-1184.6399999999999</v>
      </c>
      <c r="L29" s="149">
        <f>F29/2001.3</f>
        <v>0.4080647579073602</v>
      </c>
      <c r="M29" s="40">
        <f>E29-травень!E29</f>
        <v>11</v>
      </c>
      <c r="N29" s="40">
        <f>F29-травень!F29</f>
        <v>11</v>
      </c>
      <c r="O29" s="148">
        <f t="shared" si="3"/>
        <v>0</v>
      </c>
      <c r="P29" s="145">
        <f t="shared" si="9"/>
        <v>100</v>
      </c>
      <c r="Q29" s="148">
        <f>N29-403.3</f>
        <v>-392.3</v>
      </c>
      <c r="R29" s="149">
        <f>N29/403.3</f>
        <v>0.02727498140342177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33368.39</v>
      </c>
      <c r="G33" s="49">
        <f aca="true" t="shared" si="14" ref="G33:G72">F33-E33</f>
        <v>-4912.840000000004</v>
      </c>
      <c r="H33" s="40">
        <f aca="true" t="shared" si="15" ref="H33:H67">F33/E33*100</f>
        <v>87.16645207063618</v>
      </c>
      <c r="I33" s="56">
        <f>F33-D33</f>
        <v>-60197.61</v>
      </c>
      <c r="J33" s="56">
        <f aca="true" t="shared" si="16" ref="J33:J72">F33/D33*100</f>
        <v>35.662943804373384</v>
      </c>
      <c r="K33" s="141">
        <f>F33-39969.9</f>
        <v>-6601.510000000002</v>
      </c>
      <c r="L33" s="142">
        <f>F33/39969.9</f>
        <v>0.8348379655690907</v>
      </c>
      <c r="M33" s="40">
        <f>E33-травень!E33</f>
        <v>6540.770000000004</v>
      </c>
      <c r="N33" s="40">
        <f>F33-травень!F33</f>
        <v>663.880000000001</v>
      </c>
      <c r="O33" s="53">
        <f t="shared" si="3"/>
        <v>-5876.890000000003</v>
      </c>
      <c r="P33" s="56">
        <f aca="true" t="shared" si="17" ref="P33:P67">N33/M33*100</f>
        <v>10.149875320489798</v>
      </c>
      <c r="Q33" s="141">
        <f>N33-6504.1</f>
        <v>-5840.219999999999</v>
      </c>
      <c r="R33" s="142">
        <f>N33/6504.1</f>
        <v>0.10207100136836779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25119.6</v>
      </c>
      <c r="G55" s="144">
        <f t="shared" si="14"/>
        <v>-3211.3300000000017</v>
      </c>
      <c r="H55" s="146">
        <f t="shared" si="15"/>
        <v>88.66493263722722</v>
      </c>
      <c r="I55" s="145">
        <f t="shared" si="18"/>
        <v>-45146.4</v>
      </c>
      <c r="J55" s="145">
        <f t="shared" si="16"/>
        <v>35.74929553411322</v>
      </c>
      <c r="K55" s="148">
        <f>F55-28815.15</f>
        <v>-3695.550000000003</v>
      </c>
      <c r="L55" s="149">
        <f>F55/28815.15</f>
        <v>0.8717497566384349</v>
      </c>
      <c r="M55" s="40">
        <f>E55-травень!E55</f>
        <v>4780.77</v>
      </c>
      <c r="N55" s="40">
        <f>F55-травень!F55</f>
        <v>581.4199999999983</v>
      </c>
      <c r="O55" s="148">
        <f t="shared" si="3"/>
        <v>-4199.350000000002</v>
      </c>
      <c r="P55" s="148">
        <f t="shared" si="17"/>
        <v>12.161639233847229</v>
      </c>
      <c r="Q55" s="163">
        <f>N55-4583</f>
        <v>-4001.5800000000017</v>
      </c>
      <c r="R55" s="164">
        <f>N55/4583</f>
        <v>0.12686449923630772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0.23+2938.3</f>
        <v>2938.53</v>
      </c>
      <c r="G56" s="49">
        <f t="shared" si="14"/>
        <v>-459.77</v>
      </c>
      <c r="H56" s="40">
        <f t="shared" si="15"/>
        <v>86.47058823529412</v>
      </c>
      <c r="I56" s="56">
        <f t="shared" si="18"/>
        <v>-3921.47</v>
      </c>
      <c r="J56" s="56">
        <f t="shared" si="16"/>
        <v>42.83571428571429</v>
      </c>
      <c r="K56" s="56">
        <f>F56-3189.3</f>
        <v>-250.76999999999998</v>
      </c>
      <c r="L56" s="135">
        <f>F56/3189.3</f>
        <v>0.921371460822124</v>
      </c>
      <c r="M56" s="40">
        <f>E56-травень!E56</f>
        <v>609.2000000000003</v>
      </c>
      <c r="N56" s="40">
        <f>F56-травень!F56</f>
        <v>247.21000000000004</v>
      </c>
      <c r="O56" s="53">
        <f t="shared" si="3"/>
        <v>-361.99000000000024</v>
      </c>
      <c r="P56" s="56">
        <f t="shared" si="17"/>
        <v>40.579448456992765</v>
      </c>
      <c r="Q56" s="56">
        <f>N56-539.8</f>
        <v>-292.5899999999999</v>
      </c>
      <c r="R56" s="135">
        <f>N56/539.8</f>
        <v>0.45796591330122277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6131.95</v>
      </c>
      <c r="G74" s="50">
        <f aca="true" t="shared" si="24" ref="G74:G92">F74-E74</f>
        <v>-1296.5500000000002</v>
      </c>
      <c r="H74" s="51">
        <f aca="true" t="shared" si="25" ref="H74:H87">F74/E74*100</f>
        <v>82.54627448340848</v>
      </c>
      <c r="I74" s="36">
        <f aca="true" t="shared" si="26" ref="I74:I92">F74-D74</f>
        <v>-12226.349999999999</v>
      </c>
      <c r="J74" s="36">
        <f aca="true" t="shared" si="27" ref="J74:J92">F74/D74*100</f>
        <v>33.40151321200765</v>
      </c>
      <c r="K74" s="36">
        <f>F74-9149.2</f>
        <v>-3017.250000000001</v>
      </c>
      <c r="L74" s="136">
        <f>F74/9149.2</f>
        <v>0.6702170681589646</v>
      </c>
      <c r="M74" s="22">
        <f>M77+M86+M88+M89+M94+M95+M96+M97+M99+M87+M103</f>
        <v>1500.5</v>
      </c>
      <c r="N74" s="22">
        <f>N77+N86+N88+N89+N94+N95+N96+N97+N99+N32+N103+N87</f>
        <v>783.66</v>
      </c>
      <c r="O74" s="55">
        <f aca="true" t="shared" si="28" ref="O74:O92">N74-M74</f>
        <v>-716.84</v>
      </c>
      <c r="P74" s="36">
        <f>N74/M74*100</f>
        <v>52.2265911362879</v>
      </c>
      <c r="Q74" s="36">
        <f>N74-1610.7</f>
        <v>-827.0400000000001</v>
      </c>
      <c r="R74" s="136">
        <f>N74/1610.7</f>
        <v>0.4865338051778729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49.91</v>
      </c>
      <c r="G89" s="49">
        <f t="shared" si="24"/>
        <v>-34.09</v>
      </c>
      <c r="H89" s="40">
        <f>F89/E89*100</f>
        <v>59.416666666666664</v>
      </c>
      <c r="I89" s="56">
        <f t="shared" si="26"/>
        <v>-125.09</v>
      </c>
      <c r="J89" s="56">
        <f t="shared" si="27"/>
        <v>28.519999999999996</v>
      </c>
      <c r="K89" s="56">
        <f>F89-81.2</f>
        <v>-31.290000000000006</v>
      </c>
      <c r="L89" s="135">
        <f>F89/81.2</f>
        <v>0.6146551724137931</v>
      </c>
      <c r="M89" s="40">
        <f>E89-травень!E89</f>
        <v>15</v>
      </c>
      <c r="N89" s="40">
        <f>F89-травень!F89</f>
        <v>2.819999999999993</v>
      </c>
      <c r="O89" s="53">
        <f t="shared" si="28"/>
        <v>-12.180000000000007</v>
      </c>
      <c r="P89" s="56">
        <f>N89/M89*100</f>
        <v>18.799999999999955</v>
      </c>
      <c r="Q89" s="56">
        <f>N89-7.8</f>
        <v>-4.980000000000007</v>
      </c>
      <c r="R89" s="135">
        <f>N89/7.8</f>
        <v>0.3615384615384607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3548.7</v>
      </c>
      <c r="G95" s="49">
        <f t="shared" si="31"/>
        <v>17.199999999999818</v>
      </c>
      <c r="H95" s="40">
        <f>F95/E95*100</f>
        <v>100.48704516494406</v>
      </c>
      <c r="I95" s="56">
        <f t="shared" si="32"/>
        <v>-3451.3</v>
      </c>
      <c r="J95" s="56">
        <f>F95/D95*100</f>
        <v>50.69571428571429</v>
      </c>
      <c r="K95" s="56">
        <f>F95-3630.2</f>
        <v>-81.5</v>
      </c>
      <c r="L95" s="135">
        <f>F95/3630.2</f>
        <v>0.977549446311498</v>
      </c>
      <c r="M95" s="40">
        <f>E95-травень!E95</f>
        <v>575</v>
      </c>
      <c r="N95" s="40">
        <f>F95-травень!F95</f>
        <v>586.54</v>
      </c>
      <c r="O95" s="53">
        <f t="shared" si="33"/>
        <v>11.539999999999964</v>
      </c>
      <c r="P95" s="56">
        <f>N95/M95*100</f>
        <v>102.00695652173913</v>
      </c>
      <c r="Q95" s="56">
        <f>N95-681.8</f>
        <v>-95.25999999999999</v>
      </c>
      <c r="R95" s="135">
        <f>N95/681.8</f>
        <v>0.8602816075095336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369.22</v>
      </c>
      <c r="G96" s="49">
        <f t="shared" si="31"/>
        <v>-105.27999999999997</v>
      </c>
      <c r="H96" s="40">
        <f>F96/E96*100</f>
        <v>77.81243414120127</v>
      </c>
      <c r="I96" s="56">
        <f t="shared" si="32"/>
        <v>-830.78</v>
      </c>
      <c r="J96" s="56">
        <f>F96/D96*100</f>
        <v>30.768333333333338</v>
      </c>
      <c r="K96" s="56">
        <f>F96-463.2</f>
        <v>-93.97999999999996</v>
      </c>
      <c r="L96" s="135">
        <f>F96/463.2</f>
        <v>0.7971070811744387</v>
      </c>
      <c r="M96" s="40">
        <f>E96-травень!E96</f>
        <v>100</v>
      </c>
      <c r="N96" s="40">
        <f>F96-травень!F96</f>
        <v>18.24000000000001</v>
      </c>
      <c r="O96" s="53">
        <f t="shared" si="33"/>
        <v>-81.75999999999999</v>
      </c>
      <c r="P96" s="56">
        <f>N96/M96*100</f>
        <v>18.24000000000001</v>
      </c>
      <c r="Q96" s="56">
        <f>N96-89.2</f>
        <v>-70.96</v>
      </c>
      <c r="R96" s="135">
        <f>N96/89.2</f>
        <v>0.20448430493273553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v>1825.24</v>
      </c>
      <c r="G99" s="49">
        <f t="shared" si="31"/>
        <v>-11.759999999999991</v>
      </c>
      <c r="H99" s="40">
        <f>F99/E99*100</f>
        <v>99.35982580293957</v>
      </c>
      <c r="I99" s="56">
        <f t="shared" si="32"/>
        <v>-2747.46</v>
      </c>
      <c r="J99" s="56">
        <f>F99/D99*100</f>
        <v>39.91602335600412</v>
      </c>
      <c r="K99" s="56">
        <f>F99-1991.7</f>
        <v>-166.46000000000004</v>
      </c>
      <c r="L99" s="135">
        <f>F99/1991.7</f>
        <v>0.9164231560978059</v>
      </c>
      <c r="M99" s="40">
        <f>E99-травень!E99</f>
        <v>330</v>
      </c>
      <c r="N99" s="40">
        <f>F99-травень!F99</f>
        <v>175.30999999999995</v>
      </c>
      <c r="O99" s="53">
        <f t="shared" si="33"/>
        <v>-154.69000000000005</v>
      </c>
      <c r="P99" s="56">
        <f>N99/M99*100</f>
        <v>53.12424242424241</v>
      </c>
      <c r="Q99" s="56">
        <f>N99-325.9</f>
        <v>-150.59000000000003</v>
      </c>
      <c r="R99" s="135">
        <f>N99/325.9</f>
        <v>0.53792574409328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324.5</v>
      </c>
      <c r="G102" s="144"/>
      <c r="H102" s="146"/>
      <c r="I102" s="145"/>
      <c r="J102" s="145"/>
      <c r="K102" s="148">
        <f>F102-244.8</f>
        <v>79.69999999999999</v>
      </c>
      <c r="L102" s="149">
        <f>F102/244.8</f>
        <v>1.3255718954248366</v>
      </c>
      <c r="M102" s="40">
        <f>E102-травень!E102</f>
        <v>0</v>
      </c>
      <c r="N102" s="40">
        <f>F102-травень!F102</f>
        <v>33.30000000000001</v>
      </c>
      <c r="O102" s="53"/>
      <c r="P102" s="60"/>
      <c r="Q102" s="60">
        <f>N102-60.1</f>
        <v>-26.79999999999999</v>
      </c>
      <c r="R102" s="138">
        <f>N102/60.1</f>
        <v>0.5540765391014977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11.67</v>
      </c>
      <c r="G104" s="49">
        <f>F104-E104</f>
        <v>-3.5299999999999994</v>
      </c>
      <c r="H104" s="40">
        <f>F104/E104*100</f>
        <v>76.7763157894737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F104-13.4</f>
        <v>-1.7300000000000004</v>
      </c>
      <c r="L104" s="135">
        <f>F104/13.4</f>
        <v>0.8708955223880597</v>
      </c>
      <c r="M104" s="40">
        <f>E104-травень!E104</f>
        <v>3</v>
      </c>
      <c r="N104" s="40">
        <f>F104-травень!F104</f>
        <v>0</v>
      </c>
      <c r="O104" s="53">
        <f t="shared" si="35"/>
        <v>-3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202358.34000000003</v>
      </c>
      <c r="G106" s="50">
        <f>F106-E106</f>
        <v>-38351.889999999985</v>
      </c>
      <c r="H106" s="51">
        <f>F106/E106*100</f>
        <v>84.06719564847744</v>
      </c>
      <c r="I106" s="36">
        <f t="shared" si="34"/>
        <v>-304521.25999999995</v>
      </c>
      <c r="J106" s="36">
        <f t="shared" si="36"/>
        <v>39.922368152121344</v>
      </c>
      <c r="K106" s="36">
        <f>F106-237104</f>
        <v>-34745.659999999974</v>
      </c>
      <c r="L106" s="136">
        <f>F106/237104</f>
        <v>0.853458144949052</v>
      </c>
      <c r="M106" s="22">
        <f>M8+M74+M104+M105</f>
        <v>43098.97</v>
      </c>
      <c r="N106" s="22">
        <f>N8+N74+N104+N105</f>
        <v>12193.140000000014</v>
      </c>
      <c r="O106" s="55">
        <f t="shared" si="35"/>
        <v>-30905.829999999987</v>
      </c>
      <c r="P106" s="36">
        <f>N106/M106*100</f>
        <v>28.29102412424244</v>
      </c>
      <c r="Q106" s="36">
        <f>N106-42414.8</f>
        <v>-30221.65999999999</v>
      </c>
      <c r="R106" s="136">
        <f>N106/42414.8</f>
        <v>0.2874737120061868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159966.76</v>
      </c>
      <c r="G107" s="71">
        <f>G10-G18+G96</f>
        <v>-31054.03999999998</v>
      </c>
      <c r="H107" s="72">
        <f>F107/E107*100</f>
        <v>83.7431106978926</v>
      </c>
      <c r="I107" s="52">
        <f t="shared" si="34"/>
        <v>-228246.44</v>
      </c>
      <c r="J107" s="52">
        <f t="shared" si="36"/>
        <v>41.205904384498005</v>
      </c>
      <c r="K107" s="52">
        <f>F107-179685.8</f>
        <v>-19719.03999999998</v>
      </c>
      <c r="L107" s="137">
        <f>F107/179685.8</f>
        <v>0.890258217399483</v>
      </c>
      <c r="M107" s="71">
        <f>M10-M18+M96</f>
        <v>34534.5</v>
      </c>
      <c r="N107" s="71">
        <f>N10-N18+N96</f>
        <v>10855.630000000014</v>
      </c>
      <c r="O107" s="53">
        <f t="shared" si="35"/>
        <v>-23678.869999999988</v>
      </c>
      <c r="P107" s="52">
        <f>N107/M107*100</f>
        <v>31.434160042855737</v>
      </c>
      <c r="Q107" s="52">
        <f>N107-33396.9</f>
        <v>-22541.26999999999</v>
      </c>
      <c r="R107" s="137">
        <f>N107/33396.9</f>
        <v>0.32504903149693576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42391.580000000016</v>
      </c>
      <c r="G108" s="62">
        <f>F108-E108</f>
        <v>-7297.850000000006</v>
      </c>
      <c r="H108" s="72">
        <f>F108/E108*100</f>
        <v>85.31307362551753</v>
      </c>
      <c r="I108" s="52">
        <f t="shared" si="34"/>
        <v>-76274.81999999995</v>
      </c>
      <c r="J108" s="52">
        <f t="shared" si="36"/>
        <v>35.72332185016149</v>
      </c>
      <c r="K108" s="52">
        <f>F108-57418.1</f>
        <v>-15026.519999999982</v>
      </c>
      <c r="L108" s="137">
        <f>F108/57418.1</f>
        <v>0.7382964605237724</v>
      </c>
      <c r="M108" s="71">
        <f>M106-M107</f>
        <v>8564.470000000001</v>
      </c>
      <c r="N108" s="71">
        <f>N106-N107</f>
        <v>1337.5100000000002</v>
      </c>
      <c r="O108" s="53">
        <f t="shared" si="35"/>
        <v>-7226.960000000001</v>
      </c>
      <c r="P108" s="52">
        <f>N108/M108*100</f>
        <v>15.616961703409551</v>
      </c>
      <c r="Q108" s="52">
        <f>N108-9017.9</f>
        <v>-7680.389999999999</v>
      </c>
      <c r="R108" s="137">
        <f>N108/9017.9</f>
        <v>0.14831723572006789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159966.76</v>
      </c>
      <c r="G109" s="111">
        <f>F109-E109</f>
        <v>-25684.139999999985</v>
      </c>
      <c r="H109" s="72">
        <f>F109/E109*100</f>
        <v>86.16535659132275</v>
      </c>
      <c r="I109" s="81">
        <f t="shared" si="34"/>
        <v>-228246.44</v>
      </c>
      <c r="J109" s="52">
        <f t="shared" si="36"/>
        <v>41.205904384498005</v>
      </c>
      <c r="K109" s="52"/>
      <c r="L109" s="137"/>
      <c r="M109" s="72">
        <f>E109-травень!E109</f>
        <v>34534.5</v>
      </c>
      <c r="N109" s="71">
        <f>N107</f>
        <v>10855.630000000014</v>
      </c>
      <c r="O109" s="118">
        <f t="shared" si="35"/>
        <v>-23678.869999999988</v>
      </c>
      <c r="P109" s="52">
        <f>N109/M109*100</f>
        <v>31.434160042855737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245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543.83</v>
      </c>
      <c r="G114" s="49">
        <f t="shared" si="37"/>
        <v>-1153.27</v>
      </c>
      <c r="H114" s="40">
        <f aca="true" t="shared" si="39" ref="H114:H125">F114/E114*100</f>
        <v>32.04466442755289</v>
      </c>
      <c r="I114" s="60">
        <f t="shared" si="38"/>
        <v>-3127.67</v>
      </c>
      <c r="J114" s="60">
        <f aca="true" t="shared" si="40" ref="J114:J120">F114/D114*100</f>
        <v>14.812202097235463</v>
      </c>
      <c r="K114" s="60">
        <f>F114-1891.5</f>
        <v>-1347.67</v>
      </c>
      <c r="L114" s="138">
        <f>F114/1891.5</f>
        <v>0.28751255617235</v>
      </c>
      <c r="M114" s="40">
        <f>E114-травень!E114</f>
        <v>327.5</v>
      </c>
      <c r="N114" s="40">
        <f>F114-травень!F114</f>
        <v>44.07000000000005</v>
      </c>
      <c r="O114" s="53">
        <f aca="true" t="shared" si="41" ref="O114:O125">N114-M114</f>
        <v>-283.42999999999995</v>
      </c>
      <c r="P114" s="60">
        <f>N114/M114*100</f>
        <v>13.456488549618337</v>
      </c>
      <c r="Q114" s="60">
        <f>N114-276.6</f>
        <v>-232.52999999999997</v>
      </c>
      <c r="R114" s="138">
        <f>N114/276.6</f>
        <v>0.1593275488069416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130.4</v>
      </c>
      <c r="G115" s="49">
        <f t="shared" si="37"/>
        <v>-4.099999999999994</v>
      </c>
      <c r="H115" s="40">
        <f t="shared" si="39"/>
        <v>96.95167286245353</v>
      </c>
      <c r="I115" s="60">
        <f t="shared" si="38"/>
        <v>-137.70000000000002</v>
      </c>
      <c r="J115" s="60">
        <f t="shared" si="40"/>
        <v>48.638567698619916</v>
      </c>
      <c r="K115" s="60">
        <f>F115-131.2</f>
        <v>-0.799999999999983</v>
      </c>
      <c r="L115" s="138">
        <f>F115/131.2</f>
        <v>0.9939024390243903</v>
      </c>
      <c r="M115" s="40">
        <f>E115-травень!E115</f>
        <v>22</v>
      </c>
      <c r="N115" s="40">
        <f>F115-травень!F115</f>
        <v>10.86</v>
      </c>
      <c r="O115" s="53">
        <f t="shared" si="41"/>
        <v>-11.14</v>
      </c>
      <c r="P115" s="60">
        <f>N115/M115*100</f>
        <v>49.36363636363636</v>
      </c>
      <c r="Q115" s="60">
        <f>N115-25.8</f>
        <v>-14.940000000000001</v>
      </c>
      <c r="R115" s="138">
        <f>N115/25.8</f>
        <v>0.4209302325581395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673.09</v>
      </c>
      <c r="G116" s="62">
        <f t="shared" si="37"/>
        <v>-1158.5099999999998</v>
      </c>
      <c r="H116" s="72">
        <f t="shared" si="39"/>
        <v>36.74874426730727</v>
      </c>
      <c r="I116" s="61">
        <f t="shared" si="38"/>
        <v>-3266.5099999999998</v>
      </c>
      <c r="J116" s="61">
        <f t="shared" si="40"/>
        <v>17.08523707990659</v>
      </c>
      <c r="K116" s="61">
        <f>F116-2030.5</f>
        <v>-1357.4099999999999</v>
      </c>
      <c r="L116" s="139">
        <f>F116/2030.5</f>
        <v>0.33148978084215713</v>
      </c>
      <c r="M116" s="62">
        <f>M114+M115+M113</f>
        <v>349.5</v>
      </c>
      <c r="N116" s="38">
        <f>SUM(N113:N115)</f>
        <v>54.93000000000005</v>
      </c>
      <c r="O116" s="61">
        <f t="shared" si="41"/>
        <v>-294.56999999999994</v>
      </c>
      <c r="P116" s="61">
        <f>N116/M116*100</f>
        <v>15.716738197424906</v>
      </c>
      <c r="Q116" s="61">
        <f>N116-303.5</f>
        <v>-248.56999999999994</v>
      </c>
      <c r="R116" s="139">
        <f>N116/303.5</f>
        <v>0.18098846787479422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130.59</v>
      </c>
      <c r="G118" s="49">
        <f t="shared" si="37"/>
        <v>21.090000000000003</v>
      </c>
      <c r="H118" s="40">
        <f t="shared" si="39"/>
        <v>119.26027397260275</v>
      </c>
      <c r="I118" s="60">
        <f t="shared" si="38"/>
        <v>-136.60999999999999</v>
      </c>
      <c r="J118" s="60">
        <f t="shared" si="40"/>
        <v>48.87350299401198</v>
      </c>
      <c r="K118" s="60">
        <f>F118-95.9</f>
        <v>34.69</v>
      </c>
      <c r="L118" s="138">
        <f>F118/95.9</f>
        <v>1.3617309697601667</v>
      </c>
      <c r="M118" s="40">
        <f>E118-травень!E118</f>
        <v>3</v>
      </c>
      <c r="N118" s="40">
        <f>F118-травень!F118</f>
        <v>0.8400000000000034</v>
      </c>
      <c r="O118" s="53">
        <f>N118-M118</f>
        <v>-2.1599999999999966</v>
      </c>
      <c r="P118" s="60">
        <f>N118/M118*100</f>
        <v>28.000000000000114</v>
      </c>
      <c r="Q118" s="60">
        <f>N118-7.4</f>
        <v>-6.559999999999997</v>
      </c>
      <c r="R118" s="138">
        <f>N118/7.4</f>
        <v>0.11351351351351396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35976.27</v>
      </c>
      <c r="G119" s="49">
        <f t="shared" si="37"/>
        <v>1763.6699999999983</v>
      </c>
      <c r="H119" s="40">
        <f t="shared" si="39"/>
        <v>105.15503060276039</v>
      </c>
      <c r="I119" s="53">
        <f t="shared" si="38"/>
        <v>-35999.72000000001</v>
      </c>
      <c r="J119" s="60">
        <f t="shared" si="40"/>
        <v>49.983709845463736</v>
      </c>
      <c r="K119" s="60">
        <f>F119-32510.8</f>
        <v>3465.4699999999975</v>
      </c>
      <c r="L119" s="138">
        <f>F119/32510.8</f>
        <v>1.1065944240067915</v>
      </c>
      <c r="M119" s="40">
        <f>E119-травень!E119</f>
        <v>2600</v>
      </c>
      <c r="N119" s="40">
        <f>F119-травень!F119</f>
        <v>802.0499999999956</v>
      </c>
      <c r="O119" s="53">
        <f t="shared" si="41"/>
        <v>-1797.9500000000044</v>
      </c>
      <c r="P119" s="60">
        <f aca="true" t="shared" si="42" ref="P119:P124">N119/M119*100</f>
        <v>30.848076923076757</v>
      </c>
      <c r="Q119" s="60">
        <v>2488.2</v>
      </c>
      <c r="R119" s="138">
        <f>N119/2488.2</f>
        <v>0.32234145165179473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1658.92</v>
      </c>
      <c r="G120" s="49">
        <f t="shared" si="37"/>
        <v>-8.079999999999927</v>
      </c>
      <c r="H120" s="40">
        <f t="shared" si="39"/>
        <v>99.51529694061189</v>
      </c>
      <c r="I120" s="60">
        <f t="shared" si="38"/>
        <v>-8341.08</v>
      </c>
      <c r="J120" s="60">
        <f t="shared" si="40"/>
        <v>16.5892</v>
      </c>
      <c r="K120" s="60">
        <f>F120-624.6</f>
        <v>1034.3200000000002</v>
      </c>
      <c r="L120" s="138">
        <f>F120/624.6</f>
        <v>2.6559718219660584</v>
      </c>
      <c r="M120" s="40">
        <f>E120-травень!E120</f>
        <v>19</v>
      </c>
      <c r="N120" s="40">
        <f>F120-травень!F120</f>
        <v>46.99000000000001</v>
      </c>
      <c r="O120" s="53">
        <f t="shared" si="41"/>
        <v>27.99000000000001</v>
      </c>
      <c r="P120" s="60">
        <f t="shared" si="42"/>
        <v>247.31578947368425</v>
      </c>
      <c r="Q120" s="60">
        <f>N120-188.5</f>
        <v>-141.51</v>
      </c>
      <c r="R120" s="138">
        <f>N120/188.5</f>
        <v>0.24928381962864726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2070.75</v>
      </c>
      <c r="G121" s="49">
        <f t="shared" si="37"/>
        <v>-2751.8500000000004</v>
      </c>
      <c r="H121" s="40">
        <f t="shared" si="39"/>
        <v>42.938456434288554</v>
      </c>
      <c r="I121" s="60">
        <f t="shared" si="38"/>
        <v>-21007.25</v>
      </c>
      <c r="J121" s="60">
        <f>F121/D121*100</f>
        <v>8.972831267874167</v>
      </c>
      <c r="K121" s="60">
        <f>F121-13847.9</f>
        <v>-11777.15</v>
      </c>
      <c r="L121" s="138">
        <f>F121/13847.9</f>
        <v>0.14953530860274844</v>
      </c>
      <c r="M121" s="40">
        <f>E121-травень!E121</f>
        <v>1767.2000000000003</v>
      </c>
      <c r="N121" s="40">
        <f>F121-травень!F121</f>
        <v>0</v>
      </c>
      <c r="O121" s="53">
        <f t="shared" si="41"/>
        <v>-1767.2000000000003</v>
      </c>
      <c r="P121" s="60">
        <f t="shared" si="42"/>
        <v>0</v>
      </c>
      <c r="Q121" s="60">
        <f>N121-6379.2</f>
        <v>-6379.2</v>
      </c>
      <c r="R121" s="138">
        <f>N121/6379.2</f>
        <v>0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701.37</v>
      </c>
      <c r="G122" s="49">
        <f t="shared" si="37"/>
        <v>-161.08000000000004</v>
      </c>
      <c r="H122" s="40">
        <f t="shared" si="39"/>
        <v>81.32297524494173</v>
      </c>
      <c r="I122" s="60">
        <f t="shared" si="38"/>
        <v>-1298.63</v>
      </c>
      <c r="J122" s="60">
        <f>F122/D122*100</f>
        <v>35.0685</v>
      </c>
      <c r="K122" s="60">
        <f>F122-1200</f>
        <v>-498.63</v>
      </c>
      <c r="L122" s="138">
        <f>F122/1200</f>
        <v>0.584475</v>
      </c>
      <c r="M122" s="40">
        <f>E122-травень!E122</f>
        <v>189.59000000000003</v>
      </c>
      <c r="N122" s="40">
        <f>F122-травень!F122</f>
        <v>0.5800000000000409</v>
      </c>
      <c r="O122" s="53">
        <f t="shared" si="41"/>
        <v>-189.01</v>
      </c>
      <c r="P122" s="60">
        <f t="shared" si="42"/>
        <v>0.30592330819138186</v>
      </c>
      <c r="Q122" s="60">
        <f>N122-0</f>
        <v>0.5800000000000409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40537.899999999994</v>
      </c>
      <c r="G123" s="62">
        <f t="shared" si="37"/>
        <v>-1136.25</v>
      </c>
      <c r="H123" s="72">
        <f t="shared" si="39"/>
        <v>97.27348968125324</v>
      </c>
      <c r="I123" s="61">
        <f t="shared" si="38"/>
        <v>-66783.29000000001</v>
      </c>
      <c r="J123" s="61">
        <f>F123/D123*100</f>
        <v>37.77250326799395</v>
      </c>
      <c r="K123" s="61">
        <f>F123-48279.1</f>
        <v>-7741.200000000004</v>
      </c>
      <c r="L123" s="139">
        <f>F123/48279.1</f>
        <v>0.8396573258407881</v>
      </c>
      <c r="M123" s="62">
        <f>M119+M120+M121+M122+M118</f>
        <v>4578.790000000001</v>
      </c>
      <c r="N123" s="62">
        <f>N119+N120+N121+N122+N118</f>
        <v>850.4599999999957</v>
      </c>
      <c r="O123" s="61">
        <f t="shared" si="41"/>
        <v>-3728.3300000000054</v>
      </c>
      <c r="P123" s="61">
        <f t="shared" si="42"/>
        <v>18.573902712288522</v>
      </c>
      <c r="Q123" s="61">
        <f>N123-9063.3</f>
        <v>-8212.840000000004</v>
      </c>
      <c r="R123" s="139">
        <f>N123/9063.3</f>
        <v>0.09383557865236677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11.19</v>
      </c>
      <c r="G124" s="49">
        <f t="shared" si="37"/>
        <v>-5.970000000000001</v>
      </c>
      <c r="H124" s="40">
        <f t="shared" si="39"/>
        <v>65.20979020979021</v>
      </c>
      <c r="I124" s="60">
        <f t="shared" si="38"/>
        <v>-32.31</v>
      </c>
      <c r="J124" s="60">
        <f>F124/D124*100</f>
        <v>25.72413793103448</v>
      </c>
      <c r="K124" s="60">
        <f>F124-100.8</f>
        <v>-89.61</v>
      </c>
      <c r="L124" s="138">
        <f>F124/100.8</f>
        <v>0.11101190476190476</v>
      </c>
      <c r="M124" s="40">
        <f>E124-травень!E124</f>
        <v>3</v>
      </c>
      <c r="N124" s="40">
        <f>F124-травень!F124</f>
        <v>0.47999999999999865</v>
      </c>
      <c r="O124" s="53">
        <f t="shared" si="41"/>
        <v>-2.5200000000000014</v>
      </c>
      <c r="P124" s="60">
        <f t="shared" si="42"/>
        <v>15.999999999999956</v>
      </c>
      <c r="Q124" s="60">
        <f>N124-1.6</f>
        <v>-1.1200000000000014</v>
      </c>
      <c r="R124" s="138">
        <f>N124/1.6</f>
        <v>0.29999999999999916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5294.19</v>
      </c>
      <c r="G127" s="49">
        <f aca="true" t="shared" si="43" ref="G127:G134">F127-E127</f>
        <v>281.6899999999996</v>
      </c>
      <c r="H127" s="40">
        <f>F127/E127*100</f>
        <v>105.61975062344138</v>
      </c>
      <c r="I127" s="60">
        <f aca="true" t="shared" si="44" ref="I127:I134">F127-D127</f>
        <v>-3405.8100000000004</v>
      </c>
      <c r="J127" s="60">
        <f>F127/D127*100</f>
        <v>60.85275862068965</v>
      </c>
      <c r="K127" s="60">
        <f>F127-6301.4</f>
        <v>-1007.21</v>
      </c>
      <c r="L127" s="138">
        <f>F127/6301.4</f>
        <v>0.8401609166217031</v>
      </c>
      <c r="M127" s="40">
        <f>E127-травень!E127</f>
        <v>1</v>
      </c>
      <c r="N127" s="40">
        <f>F127-травень!F127</f>
        <v>1.3299999999999272</v>
      </c>
      <c r="O127" s="53">
        <f aca="true" t="shared" si="45" ref="O127:O134">N127-M127</f>
        <v>0.32999999999992724</v>
      </c>
      <c r="P127" s="60">
        <f>N127/M127*100</f>
        <v>132.99999999999272</v>
      </c>
      <c r="Q127" s="60">
        <f>N127-12.3</f>
        <v>-10.970000000000073</v>
      </c>
      <c r="R127" s="162">
        <f>N127/12.3</f>
        <v>0.10813008130080709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5323.179999999999</v>
      </c>
      <c r="G129" s="62">
        <f t="shared" si="43"/>
        <v>286.3199999999997</v>
      </c>
      <c r="H129" s="72">
        <f>F129/E129*100</f>
        <v>105.68449391088892</v>
      </c>
      <c r="I129" s="61">
        <f t="shared" si="44"/>
        <v>-3427.5200000000013</v>
      </c>
      <c r="J129" s="61">
        <f>F129/D129*100</f>
        <v>60.83147633903572</v>
      </c>
      <c r="K129" s="61">
        <f>F129-6410.2</f>
        <v>-1087.0200000000004</v>
      </c>
      <c r="L129" s="139">
        <f>G129/6410.2</f>
        <v>0.04466631306355492</v>
      </c>
      <c r="M129" s="62">
        <f>M124+M127+M128+M126</f>
        <v>4</v>
      </c>
      <c r="N129" s="62">
        <f>N124+N127+N128+N126</f>
        <v>1.809999999999926</v>
      </c>
      <c r="O129" s="61">
        <f t="shared" si="45"/>
        <v>-2.190000000000074</v>
      </c>
      <c r="P129" s="61">
        <f>N129/M129*100</f>
        <v>45.249999999998145</v>
      </c>
      <c r="Q129" s="61">
        <f>N129-14</f>
        <v>-12.190000000000074</v>
      </c>
      <c r="R129" s="137">
        <f>N129/14</f>
        <v>0.12928571428570898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13.15</v>
      </c>
      <c r="G130" s="49">
        <f>F130-E130</f>
        <v>-2.5</v>
      </c>
      <c r="H130" s="40">
        <f>F130/E130*100</f>
        <v>84.02555910543131</v>
      </c>
      <c r="I130" s="60">
        <f>F130-D130</f>
        <v>-16.85</v>
      </c>
      <c r="J130" s="60">
        <f>F130/D130*100</f>
        <v>43.833333333333336</v>
      </c>
      <c r="K130" s="60">
        <f>F130-16.8</f>
        <v>-3.6500000000000004</v>
      </c>
      <c r="L130" s="138">
        <f>F130/16.8</f>
        <v>0.7827380952380952</v>
      </c>
      <c r="M130" s="40">
        <f>E130-травень!E130</f>
        <v>7</v>
      </c>
      <c r="N130" s="40">
        <f>F130-травень!F130</f>
        <v>0</v>
      </c>
      <c r="O130" s="53">
        <f>N130-M130</f>
        <v>-7</v>
      </c>
      <c r="P130" s="60">
        <f>N130/M130*100</f>
        <v>0</v>
      </c>
      <c r="Q130" s="60">
        <f>N130-7.5</f>
        <v>-7.5</v>
      </c>
      <c r="R130" s="138">
        <f>N130/7.5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46547.31999999999</v>
      </c>
      <c r="G133" s="50">
        <f t="shared" si="43"/>
        <v>-2010.9400000000023</v>
      </c>
      <c r="H133" s="51">
        <f>F133/E133*100</f>
        <v>95.85870663405154</v>
      </c>
      <c r="I133" s="36">
        <f t="shared" si="44"/>
        <v>-73494.17000000001</v>
      </c>
      <c r="J133" s="36">
        <f>F133/D133*100</f>
        <v>38.776026522163285</v>
      </c>
      <c r="K133" s="36">
        <f>F133-56736.6</f>
        <v>-10189.280000000006</v>
      </c>
      <c r="L133" s="136">
        <f>F133/56736.6</f>
        <v>0.8204108106583756</v>
      </c>
      <c r="M133" s="31">
        <f>M116+M130+M123+M129+M132+M131</f>
        <v>4939.290000000001</v>
      </c>
      <c r="N133" s="31">
        <f>N116+N130+N123+N129+N132+N131</f>
        <v>907.1999999999957</v>
      </c>
      <c r="O133" s="36">
        <f t="shared" si="45"/>
        <v>-4032.090000000005</v>
      </c>
      <c r="P133" s="36">
        <f>N133/M133*100</f>
        <v>18.367012262895994</v>
      </c>
      <c r="Q133" s="36">
        <f>N133-9388.2</f>
        <v>-8481.000000000005</v>
      </c>
      <c r="R133" s="136">
        <f>N133/9388.2</f>
        <v>0.09663194222534625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248905.66000000003</v>
      </c>
      <c r="G134" s="50">
        <f t="shared" si="43"/>
        <v>-40362.82999999996</v>
      </c>
      <c r="H134" s="51">
        <f>F134/E134*100</f>
        <v>86.04658599351767</v>
      </c>
      <c r="I134" s="36">
        <f t="shared" si="44"/>
        <v>-378015.42999999993</v>
      </c>
      <c r="J134" s="36">
        <f>F134/D134*100</f>
        <v>39.702869144185286</v>
      </c>
      <c r="K134" s="36">
        <f>F134-293840.6</f>
        <v>-44934.939999999944</v>
      </c>
      <c r="L134" s="136">
        <f>F134/293840.6</f>
        <v>0.8470771567986182</v>
      </c>
      <c r="M134" s="22">
        <f>M106+M133</f>
        <v>48038.26</v>
      </c>
      <c r="N134" s="22">
        <f>N106+N133</f>
        <v>13100.34000000001</v>
      </c>
      <c r="O134" s="36">
        <f t="shared" si="45"/>
        <v>-34937.91999999999</v>
      </c>
      <c r="P134" s="36">
        <f>N134/M134*100</f>
        <v>27.27063802893779</v>
      </c>
      <c r="Q134" s="36">
        <f>N134-51803</f>
        <v>-38702.65999999999</v>
      </c>
      <c r="R134" s="136">
        <f>N134/51803</f>
        <v>0.2528876705982281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12</v>
      </c>
      <c r="D136" s="4" t="s">
        <v>118</v>
      </c>
    </row>
    <row r="137" spans="2:17" ht="31.5">
      <c r="B137" s="78" t="s">
        <v>154</v>
      </c>
      <c r="C137" s="39">
        <f>IF(O106&lt;0,ABS(O106/C136),0)</f>
        <v>2575.4858333333323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41801</v>
      </c>
      <c r="D138" s="39">
        <v>1150.4</v>
      </c>
      <c r="N138" s="193"/>
      <c r="O138" s="193"/>
    </row>
    <row r="139" spans="3:15" ht="15.75">
      <c r="C139" s="120">
        <v>41800</v>
      </c>
      <c r="D139" s="39">
        <v>814.4</v>
      </c>
      <c r="F139" s="4" t="s">
        <v>166</v>
      </c>
      <c r="G139" s="194" t="s">
        <v>151</v>
      </c>
      <c r="H139" s="194"/>
      <c r="I139" s="115">
        <f>'[1]залишки  (2)'!$G$9/1000</f>
        <v>13825.22196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41796</v>
      </c>
      <c r="D140" s="39">
        <v>5284.6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f>'[1]залишки  (2)'!$G$8/1000</f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f>'[1]залишки  (2)'!$G$6/1000</f>
        <v>118570.26168000001</v>
      </c>
      <c r="E142" s="80"/>
      <c r="F142" s="100" t="s">
        <v>147</v>
      </c>
      <c r="G142" s="194" t="s">
        <v>149</v>
      </c>
      <c r="H142" s="194"/>
      <c r="I142" s="116">
        <f>'[1]залишки  (2)'!$G$10/1000</f>
        <v>104745.03972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f>'[1]надх'!$B$52/1000</f>
        <v>14856.81612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15" sqref="B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7" t="s">
        <v>235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224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225</v>
      </c>
      <c r="N3" s="179" t="s">
        <v>233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229</v>
      </c>
      <c r="H4" s="182" t="s">
        <v>230</v>
      </c>
      <c r="I4" s="184" t="s">
        <v>188</v>
      </c>
      <c r="J4" s="186" t="s">
        <v>189</v>
      </c>
      <c r="K4" s="188" t="s">
        <v>231</v>
      </c>
      <c r="L4" s="189"/>
      <c r="M4" s="178"/>
      <c r="N4" s="196" t="s">
        <v>236</v>
      </c>
      <c r="O4" s="184" t="s">
        <v>136</v>
      </c>
      <c r="P4" s="184" t="s">
        <v>135</v>
      </c>
      <c r="Q4" s="188" t="s">
        <v>234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228</v>
      </c>
      <c r="F5" s="166"/>
      <c r="G5" s="181"/>
      <c r="H5" s="183"/>
      <c r="I5" s="185"/>
      <c r="J5" s="187"/>
      <c r="K5" s="190"/>
      <c r="L5" s="191"/>
      <c r="M5" s="151" t="s">
        <v>232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3"/>
      <c r="O138" s="193"/>
    </row>
    <row r="139" spans="3:15" ht="15.75">
      <c r="C139" s="120">
        <v>41788</v>
      </c>
      <c r="D139" s="39">
        <v>5993.3</v>
      </c>
      <c r="F139" s="4" t="s">
        <v>166</v>
      </c>
      <c r="G139" s="194" t="s">
        <v>151</v>
      </c>
      <c r="H139" s="194"/>
      <c r="I139" s="115">
        <v>13825.22196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41787</v>
      </c>
      <c r="D140" s="39">
        <v>2595.2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118982.48</v>
      </c>
      <c r="E142" s="80"/>
      <c r="F142" s="100" t="s">
        <v>147</v>
      </c>
      <c r="G142" s="194" t="s">
        <v>149</v>
      </c>
      <c r="H142" s="194"/>
      <c r="I142" s="116">
        <v>105157.26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27359.4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7" t="s">
        <v>226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224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225</v>
      </c>
      <c r="N3" s="179" t="s">
        <v>221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217</v>
      </c>
      <c r="H4" s="182" t="s">
        <v>218</v>
      </c>
      <c r="I4" s="184" t="s">
        <v>188</v>
      </c>
      <c r="J4" s="186" t="s">
        <v>189</v>
      </c>
      <c r="K4" s="188" t="s">
        <v>219</v>
      </c>
      <c r="L4" s="189"/>
      <c r="M4" s="178"/>
      <c r="N4" s="196" t="s">
        <v>227</v>
      </c>
      <c r="O4" s="184" t="s">
        <v>136</v>
      </c>
      <c r="P4" s="184" t="s">
        <v>135</v>
      </c>
      <c r="Q4" s="188" t="s">
        <v>222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216</v>
      </c>
      <c r="F5" s="166"/>
      <c r="G5" s="181"/>
      <c r="H5" s="183"/>
      <c r="I5" s="185"/>
      <c r="J5" s="187"/>
      <c r="K5" s="190"/>
      <c r="L5" s="191"/>
      <c r="M5" s="151" t="s">
        <v>220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3"/>
      <c r="O138" s="193"/>
    </row>
    <row r="139" spans="3:15" ht="15.75">
      <c r="C139" s="120">
        <v>41758</v>
      </c>
      <c r="D139" s="39">
        <v>5440.9</v>
      </c>
      <c r="F139" s="4" t="s">
        <v>166</v>
      </c>
      <c r="G139" s="194" t="s">
        <v>151</v>
      </c>
      <c r="H139" s="194"/>
      <c r="I139" s="115">
        <v>13825.22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41757</v>
      </c>
      <c r="D140" s="39">
        <v>1923.2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123251.48</v>
      </c>
      <c r="E142" s="80"/>
      <c r="F142" s="100" t="s">
        <v>147</v>
      </c>
      <c r="G142" s="194" t="s">
        <v>149</v>
      </c>
      <c r="H142" s="194"/>
      <c r="I142" s="116">
        <v>109426.25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f>'[1]надх'!$B$52/1000</f>
        <v>14856.81612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7" t="s">
        <v>212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208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210</v>
      </c>
      <c r="N3" s="179" t="s">
        <v>198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207</v>
      </c>
      <c r="H4" s="182" t="s">
        <v>195</v>
      </c>
      <c r="I4" s="184" t="s">
        <v>188</v>
      </c>
      <c r="J4" s="186" t="s">
        <v>189</v>
      </c>
      <c r="K4" s="188" t="s">
        <v>196</v>
      </c>
      <c r="L4" s="189"/>
      <c r="M4" s="178"/>
      <c r="N4" s="196" t="s">
        <v>213</v>
      </c>
      <c r="O4" s="184" t="s">
        <v>136</v>
      </c>
      <c r="P4" s="184" t="s">
        <v>135</v>
      </c>
      <c r="Q4" s="188" t="s">
        <v>197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214</v>
      </c>
      <c r="F5" s="166"/>
      <c r="G5" s="181"/>
      <c r="H5" s="183"/>
      <c r="I5" s="185"/>
      <c r="J5" s="187"/>
      <c r="K5" s="190"/>
      <c r="L5" s="191"/>
      <c r="M5" s="151" t="s">
        <v>211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3"/>
      <c r="O138" s="193"/>
    </row>
    <row r="139" spans="3:15" ht="15.75">
      <c r="C139" s="120">
        <v>41726</v>
      </c>
      <c r="D139" s="39">
        <v>4682.6</v>
      </c>
      <c r="F139" s="4" t="s">
        <v>166</v>
      </c>
      <c r="G139" s="194" t="s">
        <v>151</v>
      </c>
      <c r="H139" s="194"/>
      <c r="I139" s="115">
        <v>13825.22196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41725</v>
      </c>
      <c r="D140" s="39">
        <v>3360.7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114985.02570999999</v>
      </c>
      <c r="E142" s="80"/>
      <c r="F142" s="100" t="s">
        <v>147</v>
      </c>
      <c r="G142" s="194" t="s">
        <v>149</v>
      </c>
      <c r="H142" s="194"/>
      <c r="I142" s="116">
        <v>101159.80375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3918.1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7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207" t="s">
        <v>187</v>
      </c>
      <c r="E3" s="46"/>
      <c r="F3" s="208" t="s">
        <v>107</v>
      </c>
      <c r="G3" s="209"/>
      <c r="H3" s="209"/>
      <c r="I3" s="209"/>
      <c r="J3" s="210"/>
      <c r="K3" s="123"/>
      <c r="L3" s="123"/>
      <c r="M3" s="211" t="s">
        <v>190</v>
      </c>
      <c r="N3" s="206" t="s">
        <v>185</v>
      </c>
      <c r="O3" s="206"/>
      <c r="P3" s="206"/>
      <c r="Q3" s="206"/>
      <c r="R3" s="206"/>
    </row>
    <row r="4" spans="1:18" ht="22.5" customHeight="1">
      <c r="A4" s="169"/>
      <c r="B4" s="171"/>
      <c r="C4" s="172"/>
      <c r="D4" s="207"/>
      <c r="E4" s="212" t="s">
        <v>191</v>
      </c>
      <c r="F4" s="214" t="s">
        <v>116</v>
      </c>
      <c r="G4" s="216" t="s">
        <v>167</v>
      </c>
      <c r="H4" s="182" t="s">
        <v>168</v>
      </c>
      <c r="I4" s="218" t="s">
        <v>188</v>
      </c>
      <c r="J4" s="220" t="s">
        <v>189</v>
      </c>
      <c r="K4" s="125" t="s">
        <v>174</v>
      </c>
      <c r="L4" s="130" t="s">
        <v>173</v>
      </c>
      <c r="M4" s="211"/>
      <c r="N4" s="196" t="s">
        <v>194</v>
      </c>
      <c r="O4" s="218" t="s">
        <v>136</v>
      </c>
      <c r="P4" s="206" t="s">
        <v>135</v>
      </c>
      <c r="Q4" s="131" t="s">
        <v>174</v>
      </c>
      <c r="R4" s="132" t="s">
        <v>173</v>
      </c>
    </row>
    <row r="5" spans="1:18" ht="82.5" customHeight="1">
      <c r="A5" s="170"/>
      <c r="B5" s="171"/>
      <c r="C5" s="172"/>
      <c r="D5" s="207"/>
      <c r="E5" s="213"/>
      <c r="F5" s="215"/>
      <c r="G5" s="217"/>
      <c r="H5" s="183"/>
      <c r="I5" s="219"/>
      <c r="J5" s="221"/>
      <c r="K5" s="190" t="s">
        <v>184</v>
      </c>
      <c r="L5" s="191"/>
      <c r="M5" s="211"/>
      <c r="N5" s="197"/>
      <c r="O5" s="219"/>
      <c r="P5" s="206"/>
      <c r="Q5" s="190" t="s">
        <v>199</v>
      </c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3"/>
      <c r="O138" s="193"/>
    </row>
    <row r="139" spans="3:15" ht="15.75">
      <c r="C139" s="120">
        <v>41697</v>
      </c>
      <c r="D139" s="39">
        <v>2276.8</v>
      </c>
      <c r="F139" s="4" t="s">
        <v>166</v>
      </c>
      <c r="G139" s="194" t="s">
        <v>151</v>
      </c>
      <c r="H139" s="194"/>
      <c r="I139" s="115">
        <v>13825.22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41696</v>
      </c>
      <c r="D140" s="39">
        <v>3746.1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f>'[1]залишки  (2)'!$G$8/1000</f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121970.53</v>
      </c>
      <c r="E142" s="80"/>
      <c r="F142" s="100" t="s">
        <v>147</v>
      </c>
      <c r="G142" s="194" t="s">
        <v>149</v>
      </c>
      <c r="H142" s="194"/>
      <c r="I142" s="116">
        <v>108145.31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0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7" t="s">
        <v>183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207" t="s">
        <v>192</v>
      </c>
      <c r="E3" s="46"/>
      <c r="F3" s="208" t="s">
        <v>107</v>
      </c>
      <c r="G3" s="209"/>
      <c r="H3" s="209"/>
      <c r="I3" s="209"/>
      <c r="J3" s="210"/>
      <c r="K3" s="123"/>
      <c r="L3" s="123"/>
      <c r="M3" s="186" t="s">
        <v>200</v>
      </c>
      <c r="N3" s="206" t="s">
        <v>178</v>
      </c>
      <c r="O3" s="206"/>
      <c r="P3" s="206"/>
      <c r="Q3" s="206"/>
      <c r="R3" s="206"/>
    </row>
    <row r="4" spans="1:18" ht="22.5" customHeight="1">
      <c r="A4" s="169"/>
      <c r="B4" s="171"/>
      <c r="C4" s="172"/>
      <c r="D4" s="207"/>
      <c r="E4" s="212" t="s">
        <v>153</v>
      </c>
      <c r="F4" s="214" t="s">
        <v>116</v>
      </c>
      <c r="G4" s="216" t="s">
        <v>175</v>
      </c>
      <c r="H4" s="182" t="s">
        <v>176</v>
      </c>
      <c r="I4" s="218" t="s">
        <v>188</v>
      </c>
      <c r="J4" s="220" t="s">
        <v>189</v>
      </c>
      <c r="K4" s="125" t="s">
        <v>174</v>
      </c>
      <c r="L4" s="130" t="s">
        <v>173</v>
      </c>
      <c r="M4" s="222"/>
      <c r="N4" s="196" t="s">
        <v>186</v>
      </c>
      <c r="O4" s="218" t="s">
        <v>136</v>
      </c>
      <c r="P4" s="206" t="s">
        <v>135</v>
      </c>
      <c r="Q4" s="131" t="s">
        <v>174</v>
      </c>
      <c r="R4" s="132" t="s">
        <v>173</v>
      </c>
    </row>
    <row r="5" spans="1:18" ht="82.5" customHeight="1">
      <c r="A5" s="170"/>
      <c r="B5" s="171"/>
      <c r="C5" s="172"/>
      <c r="D5" s="207"/>
      <c r="E5" s="213"/>
      <c r="F5" s="215"/>
      <c r="G5" s="217"/>
      <c r="H5" s="183"/>
      <c r="I5" s="219"/>
      <c r="J5" s="221"/>
      <c r="K5" s="190" t="s">
        <v>177</v>
      </c>
      <c r="L5" s="191"/>
      <c r="M5" s="187"/>
      <c r="N5" s="197"/>
      <c r="O5" s="219"/>
      <c r="P5" s="206"/>
      <c r="Q5" s="190" t="s">
        <v>179</v>
      </c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3"/>
      <c r="O138" s="193"/>
    </row>
    <row r="139" spans="3:15" ht="15.75">
      <c r="C139" s="120">
        <v>41669</v>
      </c>
      <c r="D139" s="39">
        <v>4752.2</v>
      </c>
      <c r="F139" s="4" t="s">
        <v>166</v>
      </c>
      <c r="G139" s="194" t="s">
        <v>151</v>
      </c>
      <c r="H139" s="194"/>
      <c r="I139" s="115">
        <v>13825.22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41668</v>
      </c>
      <c r="D140" s="39">
        <v>1984.7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111410.62</v>
      </c>
      <c r="E142" s="80"/>
      <c r="F142" s="100" t="s">
        <v>147</v>
      </c>
      <c r="G142" s="194" t="s">
        <v>149</v>
      </c>
      <c r="H142" s="194"/>
      <c r="I142" s="116">
        <v>97585.4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0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2014-06-12T12:02:59Z</cp:lastPrinted>
  <dcterms:created xsi:type="dcterms:W3CDTF">2003-07-28T11:27:56Z</dcterms:created>
  <dcterms:modified xsi:type="dcterms:W3CDTF">2014-06-12T12:03:01Z</dcterms:modified>
  <cp:category/>
  <cp:version/>
  <cp:contentType/>
  <cp:contentStatus/>
</cp:coreProperties>
</file>